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20" windowHeight="12210" activeTab="0"/>
  </bookViews>
  <sheets>
    <sheet name="E_121029" sheetId="1" r:id="rId1"/>
    <sheet name="Enrollment" sheetId="2" r:id="rId2"/>
    <sheet name="Costs" sheetId="3" r:id="rId3"/>
    <sheet name="Revenue" sheetId="4" r:id="rId4"/>
  </sheets>
  <definedNames/>
  <calcPr fullCalcOnLoad="1"/>
</workbook>
</file>

<file path=xl/sharedStrings.xml><?xml version="1.0" encoding="utf-8"?>
<sst xmlns="http://schemas.openxmlformats.org/spreadsheetml/2006/main" count="168" uniqueCount="129">
  <si>
    <t>Full-time</t>
  </si>
  <si>
    <t>Half-time</t>
  </si>
  <si>
    <t>Not full-time</t>
  </si>
  <si>
    <t>Percent</t>
  </si>
  <si>
    <t>Total</t>
  </si>
  <si>
    <t>NCES (2012, 4 October)  Enrollment in Postsecondary Institutions, Fall 2011; Financial Statistics, Fiscal Year 2011; and Graduation Rates, Selected Cohorts, 2003-2008</t>
  </si>
  <si>
    <t>Fiscal Year 2011</t>
  </si>
  <si>
    <t>Tuition, net</t>
  </si>
  <si>
    <t>Title IV only</t>
  </si>
  <si>
    <t>Students</t>
  </si>
  <si>
    <t>Average</t>
  </si>
  <si>
    <t>All</t>
  </si>
  <si>
    <t>2-year</t>
  </si>
  <si>
    <t>4-year</t>
  </si>
  <si>
    <t>Graduate</t>
  </si>
  <si>
    <t>&lt; 2-year</t>
  </si>
  <si>
    <t>Instruction</t>
  </si>
  <si>
    <t>Research</t>
  </si>
  <si>
    <t>Academic support</t>
  </si>
  <si>
    <t>Student Services</t>
  </si>
  <si>
    <t>Work</t>
  </si>
  <si>
    <t>Institutional support</t>
  </si>
  <si>
    <t>Public service</t>
  </si>
  <si>
    <t>Scholarships and fellowships</t>
  </si>
  <si>
    <t>Student services</t>
  </si>
  <si>
    <t>&lt;2-year</t>
  </si>
  <si>
    <t>Total direct</t>
  </si>
  <si>
    <t>In thousands</t>
  </si>
  <si>
    <t>Allocations</t>
  </si>
  <si>
    <t xml:space="preserve">  Instruction</t>
  </si>
  <si>
    <t xml:space="preserve">  Research</t>
  </si>
  <si>
    <t xml:space="preserve">  Public Service</t>
  </si>
  <si>
    <t>Control</t>
  </si>
  <si>
    <t xml:space="preserve">   Student Services</t>
  </si>
  <si>
    <t>Instruction, total</t>
  </si>
  <si>
    <t>Total indirect</t>
  </si>
  <si>
    <t>Research, total</t>
  </si>
  <si>
    <t>Public service, total</t>
  </si>
  <si>
    <t>Total direct+indirect</t>
  </si>
  <si>
    <t>Enrollment</t>
  </si>
  <si>
    <t>Instruction, direct</t>
  </si>
  <si>
    <t>per student</t>
  </si>
  <si>
    <t xml:space="preserve">  Instruction, direct</t>
  </si>
  <si>
    <t xml:space="preserve">  Instruction, indirect</t>
  </si>
  <si>
    <t>Control Total</t>
  </si>
  <si>
    <t>Total direct + indirect</t>
  </si>
  <si>
    <t>Control indirect</t>
  </si>
  <si>
    <t>Control indirect+direct</t>
  </si>
  <si>
    <t>Instruction, indirect</t>
  </si>
  <si>
    <t>Overhead rate, Harvard</t>
  </si>
  <si>
    <t>Direct</t>
  </si>
  <si>
    <t xml:space="preserve">  Personnel</t>
  </si>
  <si>
    <t xml:space="preserve">  Equipment</t>
  </si>
  <si>
    <t xml:space="preserve">  Subcontracts</t>
  </si>
  <si>
    <t xml:space="preserve">  Other</t>
  </si>
  <si>
    <t>Indirect</t>
  </si>
  <si>
    <t xml:space="preserve">  Building depreciaton</t>
  </si>
  <si>
    <t xml:space="preserve">  Equipment depreciation</t>
  </si>
  <si>
    <t xml:space="preserve">  Operations and Maintenance</t>
  </si>
  <si>
    <t xml:space="preserve">  Utilities</t>
  </si>
  <si>
    <t xml:space="preserve">  Libraries</t>
  </si>
  <si>
    <t xml:space="preserve">  General administration</t>
  </si>
  <si>
    <t xml:space="preserve">  Departmental Administration</t>
  </si>
  <si>
    <t xml:space="preserve">  Sponsored Projects Administration</t>
  </si>
  <si>
    <t xml:space="preserve">  Building interest</t>
  </si>
  <si>
    <t xml:space="preserve">  Public service</t>
  </si>
  <si>
    <t>Ratio direct costs, 4 year</t>
  </si>
  <si>
    <t>Instruction support</t>
  </si>
  <si>
    <t>Overhead rate</t>
  </si>
  <si>
    <t>Total enrollment</t>
  </si>
  <si>
    <t>Percent receiving financal aid</t>
  </si>
  <si>
    <t>Number for counselling</t>
  </si>
  <si>
    <t>Working, hours per year</t>
  </si>
  <si>
    <t>Time on Task</t>
  </si>
  <si>
    <t>Hours per year for counselling</t>
  </si>
  <si>
    <t>Number of staff</t>
  </si>
  <si>
    <t>Salary from NASFAA Report 2007</t>
  </si>
  <si>
    <t>Correcting for Compensation</t>
  </si>
  <si>
    <t>Expected Compensation</t>
  </si>
  <si>
    <t>Total Cost Without Overhad</t>
  </si>
  <si>
    <t>Number of Years 2007 to 2012</t>
  </si>
  <si>
    <t>Compensation Increase per Year for Public Employees BLS</t>
  </si>
  <si>
    <t>Increase in Percent</t>
  </si>
  <si>
    <t>Expected cost</t>
  </si>
  <si>
    <t>Cost per student</t>
  </si>
  <si>
    <t>Computation done 29 October 2012, published same day</t>
  </si>
  <si>
    <t>Corrected 30 October 2012, err in equaltion for D8; used percent without correcting by 100</t>
  </si>
  <si>
    <t>Description</t>
  </si>
  <si>
    <t>Number</t>
  </si>
  <si>
    <t>Source</t>
  </si>
  <si>
    <t>Receiving federal financial aid</t>
  </si>
  <si>
    <t>Number for counseling</t>
  </si>
  <si>
    <t>Working hours per year</t>
  </si>
  <si>
    <t>Time counseling</t>
  </si>
  <si>
    <t>Hours with students</t>
  </si>
  <si>
    <t>Number of staff needed</t>
  </si>
  <si>
    <t>Salary</t>
  </si>
  <si>
    <t>Compensation correction</t>
  </si>
  <si>
    <t>Compensation (salary + benefits)</t>
  </si>
  <si>
    <t>Total direct cost</t>
  </si>
  <si>
    <t>Annual increase, Compensation, Public Employees</t>
  </si>
  <si>
    <t>Sources</t>
  </si>
  <si>
    <t>Weekdays</t>
  </si>
  <si>
    <t>National Holidays</t>
  </si>
  <si>
    <t>Sick leave</t>
  </si>
  <si>
    <t>Training</t>
  </si>
  <si>
    <t>Non-school</t>
  </si>
  <si>
    <t>Hours</t>
  </si>
  <si>
    <t>Days</t>
  </si>
  <si>
    <t>OPM federal holidays</t>
  </si>
  <si>
    <t>Regional + National FSA Conferences</t>
  </si>
  <si>
    <t>Estimated days between terms including summer</t>
  </si>
  <si>
    <t>Increase in compensation, 6 years (compounded)</t>
  </si>
  <si>
    <t>1. National Center for Education Statistics (2012, 4 October) Enrollment in Postsecondary Institutions, Fall 2011; Financial Statistics, Fiscal Year 2011; and Graduation Rates, Selected Cohorts, 2003-2008</t>
  </si>
  <si>
    <t>2. National Center for Education Statistics (2009, 8 April) 2007-08 National Postsecondary Student Aid Study (NPSAS:08)</t>
  </si>
  <si>
    <t>3. Total workdays less national holidays, sick leave, estimated training, and estimated days not in session for any term. Holidays from U.S. Office of Personnel Management. Tthe Bureau of Labor Statistics shows paid leave as 7% or 18,.2 days per year.</t>
  </si>
  <si>
    <t>1. Table 1</t>
  </si>
  <si>
    <t>2. Table 1</t>
  </si>
  <si>
    <t>Excel spreadsheet power error, should have been 8.3%, see above</t>
  </si>
  <si>
    <t>4. American College Counseling Association. (2010, 30 October) National Survey of Counseling. Full-time counselors have a case load of 25.6 client contact hours per week or 64%. (Item 31, page 8). This is up from 24 in 2008.</t>
  </si>
  <si>
    <t>5. American College Counseling Association. (2011, 13 November) National Survey of Counseling Center Directors. Reports24 hours per week for one-on-one counseling and 5 hours of other direct service and 11 hours for other tasks including clincial notes and contact with faculty/parents. The 29 hours would be 72.5%. (Itgem 18, page 7)</t>
  </si>
  <si>
    <t>6. National Association of Student Financial Aid Administrators (2208, 5 May) The State of Salary Compensation for Financial Aid Administrators and Staff</t>
  </si>
  <si>
    <t>7. Bureau of Labor Statistics (2012, 11 September) Employer Costs for Employee Compensation - June 2012. Wages are 69.8% for all civilian worders, 69.3% for education services, and 71.3% for service providing which includes the financial industry.</t>
  </si>
  <si>
    <t>8. Bureau of Labor Statistcs (2012, 31 July) Employment Cost Index - June 2012. The annual increase for state and local government workers 1.6% and 1.7% for the previous year. The three-months increase for colleges and universities was 0.5% in June down from 0.9% for March for a six-month total of 1.4%.</t>
  </si>
  <si>
    <t>4, 5</t>
  </si>
  <si>
    <t>6. Table 3</t>
  </si>
  <si>
    <t>7. Tables 2,
     4, and 6</t>
  </si>
  <si>
    <t>8. Table A</t>
  </si>
  <si>
    <t>Estimated Cost of Implementing 30 Minutes of Counseling for Each Student  Receiving Federal Financial Aid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</si>
</sst>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
  </numFmts>
  <fonts count="38">
    <font>
      <sz val="11"/>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9"/>
      <color indexed="8"/>
      <name val="Arial"/>
      <family val="2"/>
    </font>
    <font>
      <sz val="12"/>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2"/>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0">
    <xf numFmtId="0" fontId="0" fillId="0" borderId="0" xfId="0" applyAlignment="1">
      <alignment/>
    </xf>
    <xf numFmtId="37" fontId="0" fillId="0" borderId="0" xfId="0" applyNumberFormat="1" applyAlignment="1">
      <alignment/>
    </xf>
    <xf numFmtId="0" fontId="0" fillId="0" borderId="0" xfId="0" applyAlignment="1">
      <alignment horizontal="right" indent="1"/>
    </xf>
    <xf numFmtId="0" fontId="0" fillId="0" borderId="0" xfId="0" applyAlignment="1">
      <alignment horizontal="center"/>
    </xf>
    <xf numFmtId="164" fontId="0" fillId="0" borderId="0" xfId="0" applyNumberFormat="1" applyAlignment="1">
      <alignment/>
    </xf>
    <xf numFmtId="164" fontId="34" fillId="0" borderId="0" xfId="0" applyNumberFormat="1" applyFont="1" applyAlignment="1">
      <alignment/>
    </xf>
    <xf numFmtId="0" fontId="0" fillId="0" borderId="0" xfId="0" applyAlignment="1">
      <alignment horizontal="right"/>
    </xf>
    <xf numFmtId="0" fontId="0" fillId="0" borderId="0" xfId="0" applyAlignment="1">
      <alignment horizontal="center" vertical="center" wrapText="1"/>
    </xf>
    <xf numFmtId="0" fontId="0" fillId="0" borderId="0" xfId="0" applyAlignment="1">
      <alignment horizontal="center" vertical="top" wrapText="1"/>
    </xf>
    <xf numFmtId="5" fontId="0" fillId="0" borderId="0" xfId="0" applyNumberFormat="1" applyAlignment="1">
      <alignment/>
    </xf>
    <xf numFmtId="7" fontId="0" fillId="0" borderId="0" xfId="0" applyNumberFormat="1" applyAlignment="1">
      <alignment/>
    </xf>
    <xf numFmtId="0" fontId="0" fillId="0" borderId="0" xfId="0" applyAlignment="1">
      <alignment horizontal="left" vertical="center"/>
    </xf>
    <xf numFmtId="0" fontId="0" fillId="0" borderId="0" xfId="0" applyBorder="1" applyAlignment="1">
      <alignment horizontal="center"/>
    </xf>
    <xf numFmtId="0" fontId="0" fillId="0" borderId="0" xfId="0" applyBorder="1" applyAlignment="1">
      <alignment/>
    </xf>
    <xf numFmtId="37" fontId="0" fillId="0" borderId="0" xfId="0" applyNumberFormat="1" applyBorder="1" applyAlignment="1">
      <alignment/>
    </xf>
    <xf numFmtId="164" fontId="0" fillId="0" borderId="0" xfId="0" applyNumberFormat="1" applyBorder="1" applyAlignment="1">
      <alignment/>
    </xf>
    <xf numFmtId="5" fontId="0" fillId="0" borderId="0" xfId="0" applyNumberFormat="1" applyBorder="1" applyAlignment="1">
      <alignment/>
    </xf>
    <xf numFmtId="164" fontId="0" fillId="0" borderId="0" xfId="0" applyNumberFormat="1" applyBorder="1" applyAlignment="1">
      <alignment vertical="center"/>
    </xf>
    <xf numFmtId="7" fontId="0" fillId="0" borderId="0" xfId="0" applyNumberFormat="1" applyBorder="1"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1" xfId="0" applyBorder="1" applyAlignment="1">
      <alignment horizontal="left"/>
    </xf>
    <xf numFmtId="0" fontId="0" fillId="0" borderId="11" xfId="0" applyBorder="1" applyAlignment="1">
      <alignment wrapText="1"/>
    </xf>
    <xf numFmtId="0" fontId="36" fillId="0" borderId="12" xfId="0" applyFont="1" applyBorder="1" applyAlignment="1">
      <alignment vertical="center"/>
    </xf>
    <xf numFmtId="0" fontId="36" fillId="0" borderId="13" xfId="0" applyFont="1" applyBorder="1" applyAlignment="1">
      <alignment vertical="center"/>
    </xf>
    <xf numFmtId="0" fontId="37" fillId="0" borderId="10" xfId="0" applyFont="1" applyBorder="1" applyAlignment="1">
      <alignment horizontal="left" vertical="center" wrapText="1"/>
    </xf>
    <xf numFmtId="0" fontId="37" fillId="0" borderId="0" xfId="0" applyFont="1" applyBorder="1" applyAlignment="1">
      <alignment horizontal="left" vertical="center" wrapText="1"/>
    </xf>
    <xf numFmtId="0" fontId="37" fillId="0" borderId="11" xfId="0" applyFont="1" applyBorder="1" applyAlignment="1">
      <alignment horizontal="left" vertical="center" wrapText="1"/>
    </xf>
    <xf numFmtId="0" fontId="37" fillId="0" borderId="14" xfId="0" applyFont="1" applyBorder="1" applyAlignment="1">
      <alignment horizontal="left" vertical="center" wrapText="1"/>
    </xf>
    <xf numFmtId="0" fontId="37" fillId="0" borderId="15" xfId="0" applyFont="1" applyBorder="1" applyAlignment="1">
      <alignment horizontal="left" vertical="center" wrapText="1"/>
    </xf>
    <xf numFmtId="0" fontId="37" fillId="0" borderId="16" xfId="0" applyFont="1" applyBorder="1" applyAlignment="1">
      <alignment horizontal="left" vertical="center"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0" fillId="0" borderId="19" xfId="0" applyBorder="1" applyAlignment="1">
      <alignment/>
    </xf>
    <xf numFmtId="37" fontId="0" fillId="0" borderId="20" xfId="0" applyNumberFormat="1" applyBorder="1" applyAlignment="1">
      <alignment/>
    </xf>
    <xf numFmtId="164" fontId="0" fillId="0" borderId="20" xfId="0" applyNumberFormat="1" applyBorder="1" applyAlignment="1">
      <alignment/>
    </xf>
    <xf numFmtId="5" fontId="0" fillId="0" borderId="20" xfId="0" applyNumberFormat="1" applyBorder="1" applyAlignment="1">
      <alignment/>
    </xf>
    <xf numFmtId="0" fontId="0" fillId="0" borderId="19" xfId="0" applyBorder="1" applyAlignment="1">
      <alignment vertical="center"/>
    </xf>
    <xf numFmtId="164" fontId="0" fillId="0" borderId="20" xfId="0" applyNumberFormat="1" applyBorder="1" applyAlignment="1">
      <alignment vertical="center"/>
    </xf>
    <xf numFmtId="0" fontId="0" fillId="0" borderId="21" xfId="0" applyBorder="1" applyAlignment="1">
      <alignment/>
    </xf>
    <xf numFmtId="7" fontId="0" fillId="0" borderId="2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7"/>
  <sheetViews>
    <sheetView tabSelected="1" zoomScalePageLayoutView="0" workbookViewId="0" topLeftCell="B40">
      <selection activeCell="B17" sqref="B17"/>
    </sheetView>
  </sheetViews>
  <sheetFormatPr defaultColWidth="9.00390625" defaultRowHeight="14.25"/>
  <cols>
    <col min="1" max="2" width="15.625" style="0" customWidth="1"/>
    <col min="3" max="3" width="43.375" style="0" customWidth="1"/>
    <col min="4" max="4" width="13.125" style="0" bestFit="1" customWidth="1"/>
    <col min="5" max="5" width="1.625" style="0" customWidth="1"/>
    <col min="6" max="6" width="10.625" style="0" customWidth="1"/>
  </cols>
  <sheetData>
    <row r="1" spans="1:5" s="8" customFormat="1" ht="28.5">
      <c r="A1" s="7" t="s">
        <v>69</v>
      </c>
      <c r="B1" s="7" t="s">
        <v>70</v>
      </c>
      <c r="C1" s="7" t="s">
        <v>71</v>
      </c>
      <c r="D1" s="7"/>
      <c r="E1" s="7"/>
    </row>
    <row r="2" spans="1:3" ht="14.25">
      <c r="A2" s="1">
        <v>21554004</v>
      </c>
      <c r="B2">
        <v>0.656</v>
      </c>
      <c r="C2" s="1">
        <f>A2*B2</f>
        <v>14139426.624</v>
      </c>
    </row>
    <row r="3" spans="1:5" ht="28.5">
      <c r="A3" s="8" t="s">
        <v>72</v>
      </c>
      <c r="B3" s="8" t="s">
        <v>73</v>
      </c>
      <c r="C3" s="8" t="s">
        <v>74</v>
      </c>
      <c r="D3" s="8" t="s">
        <v>75</v>
      </c>
      <c r="E3" s="8"/>
    </row>
    <row r="4" spans="1:5" ht="14.25">
      <c r="A4" s="1">
        <v>1700</v>
      </c>
      <c r="B4">
        <v>0.8</v>
      </c>
      <c r="C4" s="1">
        <f>A4*B4</f>
        <v>1360</v>
      </c>
      <c r="D4" s="1">
        <f>C2/C4</f>
        <v>10396.637223529411</v>
      </c>
      <c r="E4" s="1"/>
    </row>
    <row r="5" spans="1:5" ht="42.75">
      <c r="A5" s="7" t="s">
        <v>76</v>
      </c>
      <c r="B5" s="7" t="s">
        <v>77</v>
      </c>
      <c r="C5" s="7" t="s">
        <v>78</v>
      </c>
      <c r="D5" s="7" t="s">
        <v>79</v>
      </c>
      <c r="E5" s="7"/>
    </row>
    <row r="6" spans="1:5" ht="14.25">
      <c r="A6" s="1">
        <v>35121</v>
      </c>
      <c r="B6">
        <f>0.7</f>
        <v>0.7</v>
      </c>
      <c r="C6" s="1">
        <f>A6/B6</f>
        <v>50172.857142857145</v>
      </c>
      <c r="D6" s="9">
        <f>D4*C6</f>
        <v>521628994.1822521</v>
      </c>
      <c r="E6" s="9"/>
    </row>
    <row r="7" spans="1:5" ht="57">
      <c r="A7" s="7" t="s">
        <v>80</v>
      </c>
      <c r="B7" s="7" t="s">
        <v>81</v>
      </c>
      <c r="C7" s="7" t="s">
        <v>82</v>
      </c>
      <c r="D7" s="7" t="s">
        <v>83</v>
      </c>
      <c r="E7" s="7"/>
    </row>
    <row r="8" spans="1:5" ht="14.25">
      <c r="A8">
        <v>6</v>
      </c>
      <c r="B8">
        <v>0.016</v>
      </c>
      <c r="C8">
        <f>POWER(A8,(B8+1))</f>
        <v>6.174498228906451</v>
      </c>
      <c r="D8" s="9">
        <f>D6*(1+(C8/100))</f>
        <v>553836967.1894978</v>
      </c>
      <c r="E8" s="9"/>
    </row>
    <row r="9" spans="1:13" ht="28.5">
      <c r="A9" s="7"/>
      <c r="B9" s="7"/>
      <c r="C9" s="7"/>
      <c r="D9" s="7" t="s">
        <v>84</v>
      </c>
      <c r="E9" s="7"/>
      <c r="L9" s="3" t="s">
        <v>108</v>
      </c>
      <c r="M9" s="3" t="s">
        <v>107</v>
      </c>
    </row>
    <row r="10" spans="4:13" ht="14.25">
      <c r="D10" s="10">
        <f>D8/C2</f>
        <v>39.169690675393106</v>
      </c>
      <c r="E10" s="10"/>
      <c r="H10">
        <v>1.016</v>
      </c>
      <c r="J10" t="s">
        <v>102</v>
      </c>
      <c r="K10" t="s">
        <v>4</v>
      </c>
      <c r="L10">
        <v>260</v>
      </c>
      <c r="M10">
        <f>L10*8</f>
        <v>2080</v>
      </c>
    </row>
    <row r="11" spans="7:14" ht="14.25">
      <c r="G11">
        <v>2007</v>
      </c>
      <c r="H11">
        <v>1</v>
      </c>
      <c r="J11" t="s">
        <v>103</v>
      </c>
      <c r="L11">
        <v>10</v>
      </c>
      <c r="M11">
        <f>M10-(L11*8)</f>
        <v>2000</v>
      </c>
      <c r="N11" t="s">
        <v>109</v>
      </c>
    </row>
    <row r="12" spans="7:13" ht="14.25">
      <c r="G12">
        <v>2008</v>
      </c>
      <c r="H12">
        <f>H11*$H$10</f>
        <v>1.016</v>
      </c>
      <c r="J12" t="s">
        <v>104</v>
      </c>
      <c r="L12">
        <v>10</v>
      </c>
      <c r="M12">
        <f>M11-(L12*8)</f>
        <v>1920</v>
      </c>
    </row>
    <row r="13" spans="1:14" ht="14.25">
      <c r="A13" t="s">
        <v>85</v>
      </c>
      <c r="G13">
        <v>2009</v>
      </c>
      <c r="H13">
        <f>H12*$H$10</f>
        <v>1.032256</v>
      </c>
      <c r="J13" t="s">
        <v>105</v>
      </c>
      <c r="L13">
        <v>10</v>
      </c>
      <c r="M13">
        <f>M12-(L13*8)</f>
        <v>1840</v>
      </c>
      <c r="N13" t="s">
        <v>110</v>
      </c>
    </row>
    <row r="14" spans="1:14" ht="14.25">
      <c r="A14" t="s">
        <v>86</v>
      </c>
      <c r="G14">
        <v>2010</v>
      </c>
      <c r="H14">
        <f>H13*$H$10</f>
        <v>1.048772096</v>
      </c>
      <c r="J14" t="s">
        <v>106</v>
      </c>
      <c r="L14">
        <v>20</v>
      </c>
      <c r="M14">
        <f>M13-(L14*8)</f>
        <v>1680</v>
      </c>
      <c r="N14" t="s">
        <v>111</v>
      </c>
    </row>
    <row r="15" spans="7:8" ht="14.25">
      <c r="G15">
        <v>2011</v>
      </c>
      <c r="H15">
        <f>H14*$H$10</f>
        <v>1.065552449536</v>
      </c>
    </row>
    <row r="16" spans="3:12" ht="45" customHeight="1">
      <c r="C16" s="38" t="s">
        <v>128</v>
      </c>
      <c r="D16" s="39"/>
      <c r="E16" s="24"/>
      <c r="F16" s="25"/>
      <c r="G16">
        <v>2012</v>
      </c>
      <c r="H16">
        <f>H15*$H$10</f>
        <v>1.082601288728576</v>
      </c>
      <c r="L16">
        <f>L10*0.07</f>
        <v>18.200000000000003</v>
      </c>
    </row>
    <row r="17" spans="3:6" ht="14.25">
      <c r="C17" s="40" t="s">
        <v>87</v>
      </c>
      <c r="D17" s="41" t="s">
        <v>88</v>
      </c>
      <c r="E17" s="12"/>
      <c r="F17" s="20" t="s">
        <v>89</v>
      </c>
    </row>
    <row r="18" spans="3:6" ht="14.25">
      <c r="C18" s="42" t="s">
        <v>69</v>
      </c>
      <c r="D18" s="43">
        <f>A2</f>
        <v>21554004</v>
      </c>
      <c r="E18" s="14"/>
      <c r="F18" s="21" t="s">
        <v>116</v>
      </c>
    </row>
    <row r="19" spans="3:6" ht="14.25">
      <c r="C19" s="42" t="s">
        <v>90</v>
      </c>
      <c r="D19" s="44">
        <f>B2</f>
        <v>0.656</v>
      </c>
      <c r="E19" s="15"/>
      <c r="F19" s="21" t="s">
        <v>117</v>
      </c>
    </row>
    <row r="20" spans="3:6" ht="14.25">
      <c r="C20" s="42" t="s">
        <v>91</v>
      </c>
      <c r="D20" s="43">
        <f>C2</f>
        <v>14139426.624</v>
      </c>
      <c r="E20" s="14"/>
      <c r="F20" s="22"/>
    </row>
    <row r="21" spans="3:6" ht="14.25">
      <c r="C21" s="42" t="s">
        <v>92</v>
      </c>
      <c r="D21" s="43">
        <f>A4</f>
        <v>1700</v>
      </c>
      <c r="E21" s="14"/>
      <c r="F21" s="22">
        <v>3</v>
      </c>
    </row>
    <row r="22" spans="3:6" ht="14.25">
      <c r="C22" s="42" t="s">
        <v>93</v>
      </c>
      <c r="D22" s="44">
        <v>0.8</v>
      </c>
      <c r="E22" s="15"/>
      <c r="F22" s="21" t="s">
        <v>124</v>
      </c>
    </row>
    <row r="23" spans="3:6" ht="14.25">
      <c r="C23" s="42" t="s">
        <v>94</v>
      </c>
      <c r="D23" s="43">
        <f>C4</f>
        <v>1360</v>
      </c>
      <c r="E23" s="14"/>
      <c r="F23" s="21"/>
    </row>
    <row r="24" spans="3:6" ht="14.25">
      <c r="C24" s="42" t="s">
        <v>95</v>
      </c>
      <c r="D24" s="43">
        <f>D4</f>
        <v>10396.637223529411</v>
      </c>
      <c r="E24" s="14"/>
      <c r="F24" s="21"/>
    </row>
    <row r="25" spans="3:6" ht="14.25">
      <c r="C25" s="42" t="s">
        <v>96</v>
      </c>
      <c r="D25" s="45">
        <f>A6</f>
        <v>35121</v>
      </c>
      <c r="E25" s="16"/>
      <c r="F25" s="21" t="s">
        <v>125</v>
      </c>
    </row>
    <row r="26" spans="3:6" ht="28.5">
      <c r="C26" s="46" t="s">
        <v>97</v>
      </c>
      <c r="D26" s="47">
        <f>B6</f>
        <v>0.7</v>
      </c>
      <c r="E26" s="17"/>
      <c r="F26" s="23" t="s">
        <v>126</v>
      </c>
    </row>
    <row r="27" spans="3:6" ht="14.25">
      <c r="C27" s="42" t="s">
        <v>98</v>
      </c>
      <c r="D27" s="45">
        <f>C6</f>
        <v>50172.857142857145</v>
      </c>
      <c r="E27" s="16"/>
      <c r="F27" s="21"/>
    </row>
    <row r="28" spans="3:6" ht="14.25">
      <c r="C28" s="42" t="s">
        <v>99</v>
      </c>
      <c r="D28" s="45">
        <f>D6</f>
        <v>521628994.1822521</v>
      </c>
      <c r="E28" s="16"/>
      <c r="F28" s="21"/>
    </row>
    <row r="29" spans="3:6" ht="14.25">
      <c r="C29" s="42" t="s">
        <v>100</v>
      </c>
      <c r="D29" s="44">
        <f>B8</f>
        <v>0.016</v>
      </c>
      <c r="E29" s="15"/>
      <c r="F29" s="21" t="s">
        <v>127</v>
      </c>
    </row>
    <row r="30" spans="3:7" ht="14.25">
      <c r="C30" s="42" t="s">
        <v>112</v>
      </c>
      <c r="D30" s="44">
        <f>C8/100</f>
        <v>0.06174498228906451</v>
      </c>
      <c r="E30" s="15"/>
      <c r="F30" s="21"/>
      <c r="G30" t="s">
        <v>118</v>
      </c>
    </row>
    <row r="31" spans="3:6" ht="14.25">
      <c r="C31" s="42" t="s">
        <v>83</v>
      </c>
      <c r="D31" s="45">
        <f>D8</f>
        <v>553836967.1894978</v>
      </c>
      <c r="E31" s="16"/>
      <c r="F31" s="21"/>
    </row>
    <row r="32" spans="3:6" ht="14.25">
      <c r="C32" s="48" t="s">
        <v>84</v>
      </c>
      <c r="D32" s="49">
        <f>D10</f>
        <v>39.169690675393106</v>
      </c>
      <c r="E32" s="18"/>
      <c r="F32" s="21"/>
    </row>
    <row r="33" spans="3:6" ht="14.25">
      <c r="C33" s="19"/>
      <c r="D33" s="13"/>
      <c r="E33" s="13"/>
      <c r="F33" s="21"/>
    </row>
    <row r="34" spans="3:6" ht="14.25">
      <c r="C34" s="32" t="s">
        <v>101</v>
      </c>
      <c r="D34" s="33"/>
      <c r="E34" s="33"/>
      <c r="F34" s="34"/>
    </row>
    <row r="35" spans="3:6" ht="14.25" hidden="1">
      <c r="C35" s="35"/>
      <c r="D35" s="36"/>
      <c r="E35" s="36"/>
      <c r="F35" s="37"/>
    </row>
    <row r="36" spans="3:6" ht="14.25" hidden="1">
      <c r="C36" s="19"/>
      <c r="D36" s="13"/>
      <c r="E36" s="13"/>
      <c r="F36" s="21"/>
    </row>
    <row r="37" spans="3:6" ht="14.25" hidden="1">
      <c r="C37" s="19"/>
      <c r="D37" s="13"/>
      <c r="E37" s="13"/>
      <c r="F37" s="21"/>
    </row>
    <row r="38" spans="3:6" ht="14.25" hidden="1">
      <c r="C38" s="19"/>
      <c r="D38" s="13"/>
      <c r="E38" s="13"/>
      <c r="F38" s="21"/>
    </row>
    <row r="39" spans="3:6" ht="14.25" hidden="1">
      <c r="C39" s="19"/>
      <c r="D39" s="13"/>
      <c r="E39" s="13"/>
      <c r="F39" s="21"/>
    </row>
    <row r="40" spans="2:6" s="11" customFormat="1" ht="45" customHeight="1">
      <c r="B40" s="11">
        <v>18</v>
      </c>
      <c r="C40" s="26" t="s">
        <v>113</v>
      </c>
      <c r="D40" s="27"/>
      <c r="E40" s="27"/>
      <c r="F40" s="28"/>
    </row>
    <row r="41" spans="2:6" s="11" customFormat="1" ht="30" customHeight="1">
      <c r="B41" s="11">
        <v>19</v>
      </c>
      <c r="C41" s="26" t="s">
        <v>114</v>
      </c>
      <c r="D41" s="27"/>
      <c r="E41" s="27"/>
      <c r="F41" s="28"/>
    </row>
    <row r="42" spans="2:6" s="11" customFormat="1" ht="45" customHeight="1">
      <c r="B42" s="11">
        <v>21</v>
      </c>
      <c r="C42" s="26" t="s">
        <v>115</v>
      </c>
      <c r="D42" s="27"/>
      <c r="E42" s="27"/>
      <c r="F42" s="28"/>
    </row>
    <row r="43" spans="2:6" s="11" customFormat="1" ht="45" customHeight="1">
      <c r="B43" s="11">
        <v>22.1</v>
      </c>
      <c r="C43" s="26" t="s">
        <v>119</v>
      </c>
      <c r="D43" s="27"/>
      <c r="E43" s="27"/>
      <c r="F43" s="28"/>
    </row>
    <row r="44" spans="2:6" s="11" customFormat="1" ht="60" customHeight="1">
      <c r="B44" s="11">
        <v>22.2</v>
      </c>
      <c r="C44" s="26" t="s">
        <v>120</v>
      </c>
      <c r="D44" s="27"/>
      <c r="E44" s="27"/>
      <c r="F44" s="28"/>
    </row>
    <row r="45" spans="2:6" s="11" customFormat="1" ht="30" customHeight="1">
      <c r="B45" s="11">
        <v>25</v>
      </c>
      <c r="C45" s="26" t="s">
        <v>121</v>
      </c>
      <c r="D45" s="27"/>
      <c r="E45" s="27"/>
      <c r="F45" s="28"/>
    </row>
    <row r="46" spans="2:6" ht="45" customHeight="1">
      <c r="B46" s="11">
        <v>26</v>
      </c>
      <c r="C46" s="26" t="s">
        <v>122</v>
      </c>
      <c r="D46" s="27"/>
      <c r="E46" s="27"/>
      <c r="F46" s="28"/>
    </row>
    <row r="47" spans="2:6" ht="60" customHeight="1">
      <c r="B47" s="11">
        <v>29</v>
      </c>
      <c r="C47" s="29" t="s">
        <v>123</v>
      </c>
      <c r="D47" s="30"/>
      <c r="E47" s="30"/>
      <c r="F47" s="31"/>
    </row>
  </sheetData>
  <sheetProtection/>
  <mergeCells count="11">
    <mergeCell ref="C46:F46"/>
    <mergeCell ref="C44:F44"/>
    <mergeCell ref="C16:D16"/>
    <mergeCell ref="C43:F43"/>
    <mergeCell ref="C47:F47"/>
    <mergeCell ref="C45:F45"/>
    <mergeCell ref="C34:F34"/>
    <mergeCell ref="C35:F35"/>
    <mergeCell ref="C40:F40"/>
    <mergeCell ref="C41:F41"/>
    <mergeCell ref="C42:F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15"/>
  <sheetViews>
    <sheetView zoomScalePageLayoutView="0" workbookViewId="0" topLeftCell="B1">
      <selection activeCell="D17" sqref="D17"/>
    </sheetView>
  </sheetViews>
  <sheetFormatPr defaultColWidth="9.00390625" defaultRowHeight="14.25"/>
  <cols>
    <col min="2" max="2" width="13.125" style="0" bestFit="1" customWidth="1"/>
    <col min="3" max="3" width="10.50390625" style="0" bestFit="1" customWidth="1"/>
    <col min="4" max="4" width="2.625" style="0" customWidth="1"/>
    <col min="5" max="6" width="10.50390625" style="0" bestFit="1" customWidth="1"/>
    <col min="8" max="8" width="2.625" style="0" customWidth="1"/>
    <col min="9" max="9" width="16.625" style="0" customWidth="1"/>
  </cols>
  <sheetData>
    <row r="2" spans="5:10" ht="14.25">
      <c r="E2" s="3" t="s">
        <v>4</v>
      </c>
      <c r="F2" s="3" t="s">
        <v>2</v>
      </c>
      <c r="G2" s="3" t="s">
        <v>3</v>
      </c>
      <c r="I2" s="3" t="s">
        <v>8</v>
      </c>
      <c r="J2" t="s">
        <v>5</v>
      </c>
    </row>
    <row r="3" spans="2:3" ht="14.25">
      <c r="B3" t="s">
        <v>0</v>
      </c>
      <c r="C3" t="s">
        <v>1</v>
      </c>
    </row>
    <row r="4" spans="1:7" ht="15">
      <c r="A4" t="s">
        <v>11</v>
      </c>
      <c r="B4" s="1">
        <v>13433428</v>
      </c>
      <c r="C4" s="1">
        <v>8120576</v>
      </c>
      <c r="E4" s="1">
        <v>21554004</v>
      </c>
      <c r="F4" s="1">
        <f>C4</f>
        <v>8120576</v>
      </c>
      <c r="G4" s="5">
        <f>C4/E4</f>
        <v>0.3767548711599014</v>
      </c>
    </row>
    <row r="5" spans="1:7" ht="14.25">
      <c r="A5" t="s">
        <v>15</v>
      </c>
      <c r="B5" s="1">
        <v>307308</v>
      </c>
      <c r="C5" s="1">
        <v>91653</v>
      </c>
      <c r="E5" s="1">
        <v>398961</v>
      </c>
      <c r="F5" s="1">
        <f>C5</f>
        <v>91653</v>
      </c>
      <c r="G5" s="4">
        <f>C5/E5</f>
        <v>0.2297292216532443</v>
      </c>
    </row>
    <row r="6" spans="1:7" ht="14.25">
      <c r="A6" t="s">
        <v>12</v>
      </c>
      <c r="B6" s="1">
        <v>3285418</v>
      </c>
      <c r="C6" s="1">
        <v>4376592</v>
      </c>
      <c r="E6" s="1">
        <v>7682010</v>
      </c>
      <c r="F6" s="1">
        <f>C6</f>
        <v>4376592</v>
      </c>
      <c r="G6" s="4">
        <f>C6/E6</f>
        <v>0.5697196436870038</v>
      </c>
    </row>
    <row r="7" spans="1:7" ht="14.25">
      <c r="A7" t="s">
        <v>13</v>
      </c>
      <c r="B7" s="1">
        <v>8197873</v>
      </c>
      <c r="C7" s="1">
        <v>2363644</v>
      </c>
      <c r="D7" s="1"/>
      <c r="E7" s="1">
        <v>10561517</v>
      </c>
      <c r="F7" s="1">
        <f>C7</f>
        <v>2363644</v>
      </c>
      <c r="G7" s="4">
        <f>C7/E7</f>
        <v>0.2237977745053102</v>
      </c>
    </row>
    <row r="8" spans="1:7" ht="14.25">
      <c r="A8" t="s">
        <v>14</v>
      </c>
      <c r="B8" s="1">
        <v>1642829</v>
      </c>
      <c r="C8" s="1">
        <v>1288687</v>
      </c>
      <c r="D8" s="1"/>
      <c r="E8" s="1">
        <v>2931516</v>
      </c>
      <c r="F8" s="1">
        <f>C8</f>
        <v>1288687</v>
      </c>
      <c r="G8" s="4">
        <f>C8/E8</f>
        <v>0.43959746424716767</v>
      </c>
    </row>
    <row r="9" spans="2:5" ht="14.25">
      <c r="B9" s="2"/>
      <c r="C9" s="1"/>
      <c r="E9" s="1"/>
    </row>
    <row r="10" spans="2:3" ht="14.25">
      <c r="B10" s="2"/>
      <c r="C10" s="1"/>
    </row>
    <row r="11" spans="2:7" ht="14.25">
      <c r="B11" t="s">
        <v>7</v>
      </c>
      <c r="F11" s="3" t="s">
        <v>9</v>
      </c>
      <c r="G11" s="3" t="s">
        <v>10</v>
      </c>
    </row>
    <row r="12" spans="2:9" ht="14.25">
      <c r="B12" s="1">
        <v>48151439</v>
      </c>
      <c r="F12" s="1">
        <f>E4</f>
        <v>21554004</v>
      </c>
      <c r="G12" s="1">
        <f>(B12/F12)*1000</f>
        <v>2233.9904455803203</v>
      </c>
      <c r="I12" t="s">
        <v>6</v>
      </c>
    </row>
    <row r="15" ht="14.25">
      <c r="A15" t="s">
        <v>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H82"/>
  <sheetViews>
    <sheetView zoomScalePageLayoutView="0" workbookViewId="0" topLeftCell="A13">
      <selection activeCell="A5" sqref="A5:G15"/>
    </sheetView>
  </sheetViews>
  <sheetFormatPr defaultColWidth="9.00390625" defaultRowHeight="14.25"/>
  <cols>
    <col min="1" max="1" width="18.125" style="0" bestFit="1" customWidth="1"/>
    <col min="2" max="3" width="10.50390625" style="0" bestFit="1" customWidth="1"/>
    <col min="4" max="4" width="11.50390625" style="0" bestFit="1" customWidth="1"/>
    <col min="5" max="5" width="20.25390625" style="0" bestFit="1" customWidth="1"/>
  </cols>
  <sheetData>
    <row r="5" spans="1:8" ht="14.25">
      <c r="A5" s="6" t="s">
        <v>27</v>
      </c>
      <c r="B5" s="3" t="s">
        <v>25</v>
      </c>
      <c r="C5" s="3" t="s">
        <v>12</v>
      </c>
      <c r="D5" s="3" t="s">
        <v>13</v>
      </c>
      <c r="E5" s="3" t="s">
        <v>4</v>
      </c>
      <c r="G5" s="3" t="s">
        <v>8</v>
      </c>
      <c r="H5" t="s">
        <v>5</v>
      </c>
    </row>
    <row r="6" spans="1:5" ht="14.25">
      <c r="A6" t="s">
        <v>16</v>
      </c>
      <c r="B6" s="1">
        <v>339020</v>
      </c>
      <c r="C6" s="1">
        <v>22911324</v>
      </c>
      <c r="D6" s="1">
        <v>68071595</v>
      </c>
      <c r="E6" s="1">
        <f>SUM(B6:D6)</f>
        <v>91321939</v>
      </c>
    </row>
    <row r="7" spans="1:5" ht="14.25">
      <c r="A7" t="s">
        <v>17</v>
      </c>
      <c r="B7" s="1">
        <v>0</v>
      </c>
      <c r="C7" s="1">
        <v>24773</v>
      </c>
      <c r="D7" s="1">
        <v>32106195</v>
      </c>
      <c r="E7" s="1">
        <f>SUM(B7:D7)</f>
        <v>32130968</v>
      </c>
    </row>
    <row r="8" spans="1:5" ht="14.25">
      <c r="A8" t="s">
        <v>22</v>
      </c>
      <c r="B8" s="1">
        <v>4098</v>
      </c>
      <c r="C8" s="1">
        <v>934018</v>
      </c>
      <c r="D8" s="1">
        <v>12234743</v>
      </c>
      <c r="E8" s="1">
        <f>SUM(B8:D8)</f>
        <v>13172859</v>
      </c>
    </row>
    <row r="9" spans="1:5" ht="14.25">
      <c r="A9" s="6" t="s">
        <v>26</v>
      </c>
      <c r="B9" s="1">
        <f>SUM(B6:B8)</f>
        <v>343118</v>
      </c>
      <c r="C9" s="1">
        <f>SUM(C6:C8)</f>
        <v>23870115</v>
      </c>
      <c r="D9" s="1">
        <f>SUM(D6:D8)</f>
        <v>112412533</v>
      </c>
      <c r="E9" s="1">
        <f>SUM(E6:E8)</f>
        <v>136625766</v>
      </c>
    </row>
    <row r="10" spans="1:5" ht="14.25">
      <c r="A10" s="6"/>
      <c r="B10" s="1"/>
      <c r="C10" s="1"/>
      <c r="D10" s="1"/>
      <c r="E10" s="1"/>
    </row>
    <row r="11" spans="1:5" ht="14.25">
      <c r="A11" t="s">
        <v>18</v>
      </c>
      <c r="B11" s="1">
        <v>51945</v>
      </c>
      <c r="C11" s="1">
        <v>4442054</v>
      </c>
      <c r="D11" s="1">
        <v>18292512</v>
      </c>
      <c r="E11" s="1">
        <f>SUM(B11:D11)</f>
        <v>22786511</v>
      </c>
    </row>
    <row r="12" spans="1:5" ht="14.25">
      <c r="A12" t="s">
        <v>24</v>
      </c>
      <c r="B12" s="1">
        <v>59281</v>
      </c>
      <c r="C12" s="1">
        <v>5416667</v>
      </c>
      <c r="D12" s="1">
        <v>10514908</v>
      </c>
      <c r="E12" s="1">
        <f>SUM(B12:D12)</f>
        <v>15990856</v>
      </c>
    </row>
    <row r="13" spans="1:5" ht="14.25">
      <c r="A13" t="s">
        <v>21</v>
      </c>
      <c r="B13" s="1">
        <v>101450</v>
      </c>
      <c r="C13" s="1">
        <v>8430053</v>
      </c>
      <c r="D13" s="1">
        <v>20155149</v>
      </c>
      <c r="E13" s="1">
        <f>SUM(B13:D13)</f>
        <v>28686652</v>
      </c>
    </row>
    <row r="14" spans="1:5" ht="14.25">
      <c r="A14" s="6" t="s">
        <v>35</v>
      </c>
      <c r="B14" s="1">
        <f>SUM(B11:B13)</f>
        <v>212676</v>
      </c>
      <c r="C14" s="1">
        <f>SUM(C11:C13)</f>
        <v>18288774</v>
      </c>
      <c r="D14" s="1">
        <f>SUM(D11:D13)</f>
        <v>48962569</v>
      </c>
      <c r="E14" s="1">
        <f>SUM(B14:D14)</f>
        <v>67464019</v>
      </c>
    </row>
    <row r="15" spans="1:5" ht="14.25">
      <c r="A15" t="s">
        <v>45</v>
      </c>
      <c r="B15" s="1">
        <f>B9+B14</f>
        <v>555794</v>
      </c>
      <c r="C15" s="1">
        <f>C9+C14</f>
        <v>42158889</v>
      </c>
      <c r="D15" s="1">
        <f>D9+D14</f>
        <v>161375102</v>
      </c>
      <c r="E15" s="1">
        <f>E9+E14</f>
        <v>204089785</v>
      </c>
    </row>
    <row r="16" spans="2:4" ht="14.25">
      <c r="B16" s="1"/>
      <c r="C16" s="1"/>
      <c r="D16" s="1"/>
    </row>
    <row r="17" spans="1:5" ht="14.25">
      <c r="A17" t="s">
        <v>23</v>
      </c>
      <c r="B17" s="1">
        <v>20408</v>
      </c>
      <c r="C17" s="1">
        <v>7550693</v>
      </c>
      <c r="D17" s="1">
        <v>10088308</v>
      </c>
      <c r="E17" s="1">
        <f>SUM(E13:E15)</f>
        <v>300240456</v>
      </c>
    </row>
    <row r="19" ht="14.25">
      <c r="A19" t="s">
        <v>28</v>
      </c>
    </row>
    <row r="20" ht="14.25">
      <c r="A20" t="s">
        <v>18</v>
      </c>
    </row>
    <row r="21" spans="1:5" ht="14.25">
      <c r="A21" t="s">
        <v>29</v>
      </c>
      <c r="B21" s="1">
        <f>(B11*(B6/(B6+B7)))</f>
        <v>51945</v>
      </c>
      <c r="C21" s="1">
        <f>(C11*(C6/(C6+C7)))</f>
        <v>4437256.191386704</v>
      </c>
      <c r="D21" s="1">
        <f>(D11*(D6/(D6+D7)))</f>
        <v>12429905.554880377</v>
      </c>
      <c r="E21" s="1">
        <f>(E11*(E6/(E6+E7)))</f>
        <v>16855887.95057559</v>
      </c>
    </row>
    <row r="22" spans="1:5" ht="14.25">
      <c r="A22" t="s">
        <v>30</v>
      </c>
      <c r="B22" s="1">
        <f>(B11*(B7/(B6+B7)))</f>
        <v>0</v>
      </c>
      <c r="C22" s="1">
        <f>(C11*(C7/(C6+C7)))</f>
        <v>4797.808613296325</v>
      </c>
      <c r="D22" s="1">
        <f>(D11*(D7/(D6+D7)))</f>
        <v>5862606.445119621</v>
      </c>
      <c r="E22" s="1">
        <f>(E11*(E7/(E6+E7)))</f>
        <v>5930623.04942441</v>
      </c>
    </row>
    <row r="23" spans="1:5" ht="14.25">
      <c r="A23" t="s">
        <v>31</v>
      </c>
      <c r="B23" s="1">
        <v>0</v>
      </c>
      <c r="C23">
        <v>0</v>
      </c>
      <c r="D23">
        <v>0</v>
      </c>
      <c r="E23">
        <v>0</v>
      </c>
    </row>
    <row r="24" spans="1:5" ht="14.25">
      <c r="A24" s="6" t="s">
        <v>32</v>
      </c>
      <c r="B24" s="1">
        <f>SUM(B21:B23)</f>
        <v>51945</v>
      </c>
      <c r="C24" s="1">
        <f>SUM(C21:C23)</f>
        <v>4442054.000000001</v>
      </c>
      <c r="D24" s="1">
        <f>SUM(D21:D23)</f>
        <v>18292512</v>
      </c>
      <c r="E24" s="1">
        <f>SUM(E21:E23)</f>
        <v>22786511</v>
      </c>
    </row>
    <row r="25" spans="1:5" ht="14.25">
      <c r="A25" t="s">
        <v>33</v>
      </c>
      <c r="B25" s="1">
        <f>B12</f>
        <v>59281</v>
      </c>
      <c r="C25" s="1">
        <f>C12</f>
        <v>5416667</v>
      </c>
      <c r="D25" s="1">
        <f>D12</f>
        <v>10514908</v>
      </c>
      <c r="E25" s="1">
        <f>E12</f>
        <v>15990856</v>
      </c>
    </row>
    <row r="26" ht="14.25">
      <c r="A26" t="s">
        <v>21</v>
      </c>
    </row>
    <row r="27" spans="1:5" ht="14.25">
      <c r="A27" t="s">
        <v>29</v>
      </c>
      <c r="B27" s="1">
        <f>B13*(B6/B9)</f>
        <v>100238.34074574927</v>
      </c>
      <c r="C27" s="1">
        <f>C13*(C6/C9)</f>
        <v>8091443.029083521</v>
      </c>
      <c r="D27" s="1">
        <f>D13*(D6/D9)</f>
        <v>12204983.76184313</v>
      </c>
      <c r="E27" s="1">
        <f>E13*(E6/E9)</f>
        <v>19174426.32349617</v>
      </c>
    </row>
    <row r="28" spans="1:5" ht="14.25">
      <c r="A28" t="s">
        <v>30</v>
      </c>
      <c r="B28" s="1">
        <f>B13*(B7/B9)</f>
        <v>0</v>
      </c>
      <c r="C28" s="1">
        <f>C13*(C7/C9)</f>
        <v>8748.919013125827</v>
      </c>
      <c r="D28" s="1">
        <f>D13*(D7/D9)</f>
        <v>5756521.330660301</v>
      </c>
      <c r="E28" s="1">
        <f>E13*(E7/E9)</f>
        <v>6746384.114978254</v>
      </c>
    </row>
    <row r="29" spans="1:5" ht="14.25">
      <c r="A29" t="s">
        <v>31</v>
      </c>
      <c r="B29" s="1">
        <f>B13*(B8/B9)</f>
        <v>1211.6592542507242</v>
      </c>
      <c r="C29" s="1">
        <f>C13*(C8/C9)</f>
        <v>329861.0519033528</v>
      </c>
      <c r="D29" s="1">
        <f>D13*(D8/D9)</f>
        <v>2193643.9074965687</v>
      </c>
      <c r="E29" s="1">
        <f>E13*(E8/E9)</f>
        <v>2765841.5615255763</v>
      </c>
    </row>
    <row r="30" spans="1:5" ht="14.25">
      <c r="A30" s="6" t="s">
        <v>32</v>
      </c>
      <c r="B30" s="1">
        <f>SUM(B27:B29)</f>
        <v>101450</v>
      </c>
      <c r="C30" s="1">
        <f>SUM(C27:C29)</f>
        <v>8430053</v>
      </c>
      <c r="D30" s="1">
        <f>SUM(D27:D29)</f>
        <v>20155149</v>
      </c>
      <c r="E30" s="1">
        <f>SUM(E27:E29)</f>
        <v>28686652</v>
      </c>
    </row>
    <row r="31" spans="1:5" ht="14.25">
      <c r="A31" s="6" t="s">
        <v>46</v>
      </c>
      <c r="E31" s="1">
        <f>E24+E25+E30</f>
        <v>67464019</v>
      </c>
    </row>
    <row r="32" spans="1:5" ht="14.25">
      <c r="A32" t="s">
        <v>47</v>
      </c>
      <c r="E32" s="1">
        <f>E9+E31</f>
        <v>204089785</v>
      </c>
    </row>
    <row r="34" spans="1:5" ht="14.25">
      <c r="A34" t="s">
        <v>34</v>
      </c>
      <c r="B34" s="1">
        <f>B6+B21+B25+B27</f>
        <v>550484.3407457493</v>
      </c>
      <c r="C34" s="1">
        <f>C6+C21+C25+C27</f>
        <v>40856690.22047023</v>
      </c>
      <c r="D34" s="1">
        <f>D6+D21+D25+D27</f>
        <v>103221392.31672351</v>
      </c>
      <c r="E34" s="1">
        <f>E6+E21+E25+E27</f>
        <v>143343109.27407175</v>
      </c>
    </row>
    <row r="35" spans="1:5" ht="14.25">
      <c r="A35" t="s">
        <v>36</v>
      </c>
      <c r="B35" s="1">
        <f aca="true" t="shared" si="0" ref="B35:E36">B7+B22+B28</f>
        <v>0</v>
      </c>
      <c r="C35" s="1">
        <f t="shared" si="0"/>
        <v>38319.72762642215</v>
      </c>
      <c r="D35" s="1">
        <f t="shared" si="0"/>
        <v>43725322.77577992</v>
      </c>
      <c r="E35" s="1">
        <f t="shared" si="0"/>
        <v>44807975.16440266</v>
      </c>
    </row>
    <row r="36" spans="1:5" ht="14.25">
      <c r="A36" t="s">
        <v>37</v>
      </c>
      <c r="B36" s="1">
        <f t="shared" si="0"/>
        <v>5309.659254250724</v>
      </c>
      <c r="C36" s="1">
        <f t="shared" si="0"/>
        <v>1263879.0519033528</v>
      </c>
      <c r="D36" s="1">
        <f t="shared" si="0"/>
        <v>14428386.907496568</v>
      </c>
      <c r="E36" s="1">
        <f t="shared" si="0"/>
        <v>15938700.561525576</v>
      </c>
    </row>
    <row r="37" spans="1:5" ht="14.25">
      <c r="A37" s="6" t="s">
        <v>32</v>
      </c>
      <c r="B37" s="1">
        <f>SUM(B34:B36)</f>
        <v>555794</v>
      </c>
      <c r="C37" s="1">
        <f>SUM(C34:C36)</f>
        <v>42158889</v>
      </c>
      <c r="D37" s="1">
        <f>SUM(D34:D36)</f>
        <v>161375102</v>
      </c>
      <c r="E37" s="1">
        <f>SUM(E34:E36)</f>
        <v>204089785</v>
      </c>
    </row>
    <row r="39" spans="1:5" ht="14.25">
      <c r="A39" t="s">
        <v>38</v>
      </c>
      <c r="B39" s="1">
        <f>B9+B14</f>
        <v>555794</v>
      </c>
      <c r="C39" s="1">
        <f>C9+C14</f>
        <v>42158889</v>
      </c>
      <c r="D39" s="1">
        <f>D9+D14</f>
        <v>161375102</v>
      </c>
      <c r="E39" s="1">
        <f>E9+E14</f>
        <v>204089785</v>
      </c>
    </row>
    <row r="41" spans="1:5" ht="14.25">
      <c r="A41" t="s">
        <v>39</v>
      </c>
      <c r="B41" s="1">
        <v>398961</v>
      </c>
      <c r="C41" s="1">
        <v>7662010</v>
      </c>
      <c r="D41" s="1">
        <v>13493033</v>
      </c>
      <c r="E41" s="1">
        <v>21554004</v>
      </c>
    </row>
    <row r="42" spans="1:5" ht="14.25">
      <c r="A42" s="6" t="s">
        <v>32</v>
      </c>
      <c r="E42" s="1">
        <f>SUM(B41:D41)</f>
        <v>21554004</v>
      </c>
    </row>
    <row r="44" ht="14.25">
      <c r="A44" t="s">
        <v>41</v>
      </c>
    </row>
    <row r="45" spans="1:5" ht="14.25">
      <c r="A45" t="s">
        <v>42</v>
      </c>
      <c r="B45" s="1">
        <f>((B6*1000)/B41)</f>
        <v>849.7572444424393</v>
      </c>
      <c r="C45" s="1">
        <f>((C6*1000)/C41)</f>
        <v>2990.2498169540368</v>
      </c>
      <c r="D45" s="1">
        <f>((D6*1000)/D41)</f>
        <v>5044.9439351404535</v>
      </c>
      <c r="E45" s="1">
        <f>((E6*1000)/E41)</f>
        <v>4236.889767673792</v>
      </c>
    </row>
    <row r="46" spans="1:5" ht="14.25">
      <c r="A46" t="s">
        <v>43</v>
      </c>
      <c r="B46" s="1">
        <f>((B21+B25+B27)*1000)/B41</f>
        <v>530.0376245942567</v>
      </c>
      <c r="C46" s="1">
        <f>((C21+C25+C27)*1000)/C41</f>
        <v>2342.122526656872</v>
      </c>
      <c r="D46" s="1">
        <f>((D21+D25+D27)*1000)/D41</f>
        <v>2605.0330801624445</v>
      </c>
      <c r="E46" s="1">
        <f>((E21+E25+E27)*1000)/E41</f>
        <v>2413.5269843167775</v>
      </c>
    </row>
    <row r="47" spans="1:5" ht="14.25">
      <c r="A47" s="6" t="s">
        <v>4</v>
      </c>
      <c r="B47" s="1">
        <f>B45+B46</f>
        <v>1379.7948690366961</v>
      </c>
      <c r="C47" s="1">
        <f>C45+C46</f>
        <v>5332.3723436109085</v>
      </c>
      <c r="D47" s="1">
        <f>D45+D46</f>
        <v>7649.9770153028985</v>
      </c>
      <c r="E47" s="1">
        <f>E45+E46</f>
        <v>6650.4167519905695</v>
      </c>
    </row>
    <row r="48" spans="1:5" ht="14.25">
      <c r="A48" s="6" t="s">
        <v>44</v>
      </c>
      <c r="B48" s="1">
        <f>((B34*1000)/B41)</f>
        <v>1379.7948690366961</v>
      </c>
      <c r="C48" s="1">
        <f>((C34*1000)/C41)</f>
        <v>5332.37234361091</v>
      </c>
      <c r="D48" s="1">
        <f>((D34*1000)/D41)</f>
        <v>7649.9770153028985</v>
      </c>
      <c r="E48" s="1">
        <f>((E34*1000)/E41)</f>
        <v>6650.4167519905695</v>
      </c>
    </row>
    <row r="50" spans="1:5" ht="14.25">
      <c r="A50" t="s">
        <v>40</v>
      </c>
      <c r="B50" s="4">
        <f>B45/B47</f>
        <v>0.6158576637088797</v>
      </c>
      <c r="C50" s="4">
        <f>C45/C47</f>
        <v>0.5607728838622581</v>
      </c>
      <c r="D50" s="4">
        <f>D45/D47</f>
        <v>0.6594717768496067</v>
      </c>
      <c r="E50" s="4">
        <f>E45/E47</f>
        <v>0.6370863549875468</v>
      </c>
    </row>
    <row r="51" spans="1:5" ht="14.25">
      <c r="A51" t="s">
        <v>48</v>
      </c>
      <c r="B51" s="4">
        <f>B46/B47</f>
        <v>0.3841423362911202</v>
      </c>
      <c r="C51" s="4">
        <f>C46/C47</f>
        <v>0.439227116137742</v>
      </c>
      <c r="D51" s="4">
        <f>D46/D47</f>
        <v>0.3405282231503932</v>
      </c>
      <c r="E51" s="4">
        <f>E46/E47</f>
        <v>0.3629136450124532</v>
      </c>
    </row>
    <row r="52" spans="1:5" ht="14.25">
      <c r="A52" t="s">
        <v>68</v>
      </c>
      <c r="B52" s="4">
        <f>B51/B50</f>
        <v>0.6237518162519887</v>
      </c>
      <c r="C52" s="4">
        <f>C51/C50</f>
        <v>0.7832531293464411</v>
      </c>
      <c r="D52" s="4">
        <f>D51/D50</f>
        <v>0.5163651199406083</v>
      </c>
      <c r="E52" s="4">
        <f>E51/E50</f>
        <v>0.5696459234628359</v>
      </c>
    </row>
    <row r="56" ht="14.25">
      <c r="A56" t="s">
        <v>49</v>
      </c>
    </row>
    <row r="58" spans="1:4" ht="14.25">
      <c r="A58" t="s">
        <v>50</v>
      </c>
      <c r="D58">
        <f>29/74</f>
        <v>0.3918918918918919</v>
      </c>
    </row>
    <row r="59" spans="1:2" ht="14.25">
      <c r="A59" t="s">
        <v>51</v>
      </c>
      <c r="B59" s="4">
        <v>0.38</v>
      </c>
    </row>
    <row r="60" spans="1:2" ht="14.25">
      <c r="A60" t="s">
        <v>52</v>
      </c>
      <c r="B60" s="4">
        <v>0.07</v>
      </c>
    </row>
    <row r="61" spans="1:2" ht="14.25">
      <c r="A61" t="s">
        <v>53</v>
      </c>
      <c r="B61" s="4">
        <v>0.06</v>
      </c>
    </row>
    <row r="62" spans="1:2" ht="14.25">
      <c r="A62" t="s">
        <v>54</v>
      </c>
      <c r="B62" s="4">
        <v>0.23</v>
      </c>
    </row>
    <row r="63" spans="1:2" ht="14.25">
      <c r="A63" s="6" t="s">
        <v>26</v>
      </c>
      <c r="B63" s="4">
        <f>SUM(B59:B62)</f>
        <v>0.74</v>
      </c>
    </row>
    <row r="64" ht="14.25">
      <c r="B64" s="4"/>
    </row>
    <row r="65" spans="1:2" ht="14.25">
      <c r="A65" t="s">
        <v>55</v>
      </c>
      <c r="B65" s="4"/>
    </row>
    <row r="66" spans="1:6" ht="14.25">
      <c r="A66" t="s">
        <v>56</v>
      </c>
      <c r="B66" s="4">
        <v>0.05</v>
      </c>
      <c r="C66" s="4">
        <v>0.05</v>
      </c>
      <c r="E66" t="s">
        <v>18</v>
      </c>
      <c r="F66" s="4">
        <f>E21/E39</f>
        <v>0.08259055175434474</v>
      </c>
    </row>
    <row r="67" spans="1:6" ht="14.25">
      <c r="A67" t="s">
        <v>64</v>
      </c>
      <c r="B67" s="4">
        <v>0.02</v>
      </c>
      <c r="C67" s="4">
        <v>0.02</v>
      </c>
      <c r="E67" t="s">
        <v>19</v>
      </c>
      <c r="F67" s="4">
        <f>E25/E39</f>
        <v>0.07835206450925508</v>
      </c>
    </row>
    <row r="68" spans="1:6" ht="14.25">
      <c r="A68" t="s">
        <v>57</v>
      </c>
      <c r="B68" s="4">
        <v>0.01</v>
      </c>
      <c r="C68" s="4">
        <v>0.01</v>
      </c>
      <c r="E68" t="s">
        <v>67</v>
      </c>
      <c r="F68" s="4">
        <f>E27/E39</f>
        <v>0.09395093597406734</v>
      </c>
    </row>
    <row r="69" spans="1:6" ht="14.25">
      <c r="A69" t="s">
        <v>58</v>
      </c>
      <c r="B69" s="4">
        <v>0.07</v>
      </c>
      <c r="C69" s="4">
        <v>0.07</v>
      </c>
      <c r="F69" s="4"/>
    </row>
    <row r="70" spans="1:6" ht="14.25">
      <c r="A70" t="s">
        <v>59</v>
      </c>
      <c r="B70" s="4">
        <v>0.01</v>
      </c>
      <c r="C70" s="4">
        <v>0.01</v>
      </c>
      <c r="F70" s="4"/>
    </row>
    <row r="71" spans="1:6" ht="14.25">
      <c r="A71" t="s">
        <v>60</v>
      </c>
      <c r="B71" s="4">
        <v>0.02</v>
      </c>
      <c r="C71" s="4"/>
      <c r="F71" s="4"/>
    </row>
    <row r="72" spans="1:6" ht="14.25">
      <c r="A72" t="s">
        <v>61</v>
      </c>
      <c r="B72" s="4">
        <v>0.02</v>
      </c>
      <c r="C72" s="4">
        <v>0.02</v>
      </c>
      <c r="F72" s="4"/>
    </row>
    <row r="73" spans="1:6" ht="14.25">
      <c r="A73" t="s">
        <v>62</v>
      </c>
      <c r="B73" s="4">
        <v>0.07</v>
      </c>
      <c r="C73" s="4"/>
      <c r="F73" s="4"/>
    </row>
    <row r="74" spans="1:6" ht="14.25">
      <c r="A74" t="s">
        <v>63</v>
      </c>
      <c r="B74" s="4">
        <v>0.02</v>
      </c>
      <c r="C74" s="4"/>
      <c r="F74" s="4"/>
    </row>
    <row r="75" spans="1:6" ht="14.25">
      <c r="A75" s="6" t="s">
        <v>35</v>
      </c>
      <c r="B75" s="4">
        <f>SUM(B66:B74)</f>
        <v>0.29000000000000004</v>
      </c>
      <c r="C75" s="4">
        <f>SUM(C66:C74)</f>
        <v>0.18000000000000002</v>
      </c>
      <c r="F75" s="4">
        <f>SUM(F66:F74)</f>
        <v>0.2548935522376672</v>
      </c>
    </row>
    <row r="76" spans="1:2" ht="14.25">
      <c r="A76" t="s">
        <v>68</v>
      </c>
      <c r="B76" s="4">
        <f>(B75/B63)</f>
        <v>0.39189189189189194</v>
      </c>
    </row>
    <row r="79" ht="14.25">
      <c r="A79" t="s">
        <v>66</v>
      </c>
    </row>
    <row r="80" spans="1:2" ht="14.25">
      <c r="A80" t="s">
        <v>29</v>
      </c>
      <c r="B80">
        <f>D6/D$9</f>
        <v>0.6055516514337418</v>
      </c>
    </row>
    <row r="81" spans="1:2" ht="14.25">
      <c r="A81" t="s">
        <v>30</v>
      </c>
      <c r="B81">
        <f>D7/D$9</f>
        <v>0.2856104576880231</v>
      </c>
    </row>
    <row r="82" spans="1:2" ht="14.25">
      <c r="A82" t="s">
        <v>65</v>
      </c>
      <c r="B82">
        <f>D8/D$9</f>
        <v>0.10883789087823507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5:G15"/>
  <sheetViews>
    <sheetView zoomScalePageLayoutView="0" workbookViewId="0" topLeftCell="A1">
      <selection activeCell="A6" sqref="A6"/>
    </sheetView>
  </sheetViews>
  <sheetFormatPr defaultColWidth="9.00390625" defaultRowHeight="14.25"/>
  <cols>
    <col min="3" max="3" width="10.50390625" style="0" bestFit="1" customWidth="1"/>
    <col min="4" max="5" width="11.50390625" style="0" bestFit="1" customWidth="1"/>
  </cols>
  <sheetData>
    <row r="5" spans="1:7" ht="14.25">
      <c r="A5" s="6" t="s">
        <v>27</v>
      </c>
      <c r="B5" s="3" t="s">
        <v>25</v>
      </c>
      <c r="C5" s="3" t="s">
        <v>12</v>
      </c>
      <c r="D5" s="3" t="s">
        <v>13</v>
      </c>
      <c r="E5" s="3" t="s">
        <v>4</v>
      </c>
      <c r="G5" s="3" t="s">
        <v>8</v>
      </c>
    </row>
    <row r="6" spans="1:5" ht="14.25">
      <c r="A6" t="s">
        <v>16</v>
      </c>
      <c r="B6" s="1">
        <v>339020</v>
      </c>
      <c r="C6" s="1">
        <v>22911324</v>
      </c>
      <c r="D6" s="1">
        <v>68071595</v>
      </c>
      <c r="E6" s="1">
        <f>SUM(B6:D6)</f>
        <v>91321939</v>
      </c>
    </row>
    <row r="7" spans="1:5" ht="14.25">
      <c r="A7" t="s">
        <v>17</v>
      </c>
      <c r="B7" s="1">
        <v>0</v>
      </c>
      <c r="C7" s="1">
        <v>24773</v>
      </c>
      <c r="D7" s="1">
        <v>32106195</v>
      </c>
      <c r="E7" s="1">
        <f>SUM(B7:D7)</f>
        <v>32130968</v>
      </c>
    </row>
    <row r="8" spans="1:5" ht="14.25">
      <c r="A8" t="s">
        <v>22</v>
      </c>
      <c r="B8" s="1">
        <v>4098</v>
      </c>
      <c r="C8" s="1">
        <v>934018</v>
      </c>
      <c r="D8" s="1">
        <v>12234743</v>
      </c>
      <c r="E8" s="1">
        <f>SUM(B8:D8)</f>
        <v>13172859</v>
      </c>
    </row>
    <row r="9" spans="1:5" ht="14.25">
      <c r="A9" s="6" t="s">
        <v>26</v>
      </c>
      <c r="B9" s="1">
        <f>SUM(B6:B8)</f>
        <v>343118</v>
      </c>
      <c r="C9" s="1">
        <f>SUM(C6:C8)</f>
        <v>23870115</v>
      </c>
      <c r="D9" s="1">
        <f>SUM(D6:D8)</f>
        <v>112412533</v>
      </c>
      <c r="E9" s="1">
        <f>SUM(E6:E8)</f>
        <v>136625766</v>
      </c>
    </row>
    <row r="10" spans="1:5" ht="14.25">
      <c r="A10" s="6"/>
      <c r="B10" s="1"/>
      <c r="C10" s="1"/>
      <c r="D10" s="1"/>
      <c r="E10" s="1"/>
    </row>
    <row r="11" spans="1:5" ht="14.25">
      <c r="A11" t="s">
        <v>18</v>
      </c>
      <c r="B11" s="1">
        <v>51945</v>
      </c>
      <c r="C11" s="1">
        <v>4442054</v>
      </c>
      <c r="D11" s="1">
        <v>18292512</v>
      </c>
      <c r="E11" s="1">
        <f>SUM(B11:D11)</f>
        <v>22786511</v>
      </c>
    </row>
    <row r="12" spans="1:5" ht="14.25">
      <c r="A12" t="s">
        <v>24</v>
      </c>
      <c r="B12" s="1">
        <v>59281</v>
      </c>
      <c r="C12" s="1">
        <v>5416667</v>
      </c>
      <c r="D12" s="1">
        <v>10514908</v>
      </c>
      <c r="E12" s="1">
        <f>SUM(B12:D12)</f>
        <v>15990856</v>
      </c>
    </row>
    <row r="13" spans="1:5" ht="14.25">
      <c r="A13" t="s">
        <v>21</v>
      </c>
      <c r="B13" s="1">
        <v>101450</v>
      </c>
      <c r="C13" s="1">
        <v>8430053</v>
      </c>
      <c r="D13" s="1">
        <v>20155149</v>
      </c>
      <c r="E13" s="1">
        <f>SUM(B13:D13)</f>
        <v>28686652</v>
      </c>
    </row>
    <row r="14" spans="1:5" ht="14.25">
      <c r="A14" s="6" t="s">
        <v>35</v>
      </c>
      <c r="B14" s="1">
        <f>SUM(B11:B13)</f>
        <v>212676</v>
      </c>
      <c r="C14" s="1">
        <f>SUM(C11:C13)</f>
        <v>18288774</v>
      </c>
      <c r="D14" s="1">
        <f>SUM(D11:D13)</f>
        <v>48962569</v>
      </c>
      <c r="E14" s="1">
        <f>SUM(B14:D14)</f>
        <v>67464019</v>
      </c>
    </row>
    <row r="15" spans="1:5" ht="14.25">
      <c r="A15" t="s">
        <v>45</v>
      </c>
      <c r="B15" s="1">
        <f>B9+B14</f>
        <v>555794</v>
      </c>
      <c r="C15" s="1">
        <f>C9+C14</f>
        <v>42158889</v>
      </c>
      <c r="D15" s="1">
        <f>D9+D14</f>
        <v>161375102</v>
      </c>
      <c r="E15" s="1">
        <f>E9+E14</f>
        <v>204089785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instructional media + magic,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Farmer</dc:creator>
  <cp:keywords/>
  <dc:description/>
  <cp:lastModifiedBy>Jim Farmer</cp:lastModifiedBy>
  <dcterms:created xsi:type="dcterms:W3CDTF">2012-11-13T20:44:24Z</dcterms:created>
  <dcterms:modified xsi:type="dcterms:W3CDTF">2012-11-20T01:24:25Z</dcterms:modified>
  <cp:category/>
  <cp:version/>
  <cp:contentType/>
  <cp:contentStatus/>
</cp:coreProperties>
</file>